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hangemakerfoundation-my.sharepoint.com/personal/zdiaz_thechangemakerfoundation_org/Documents/CHANGEMAKER FOUNDATION/AGROINNOVA/GUIA AGROEMPRESARIAL/"/>
    </mc:Choice>
  </mc:AlternateContent>
  <xr:revisionPtr revIDLastSave="0" documentId="8_{24B59D0D-2C08-B247-A1E5-BC9554FBF3D6}" xr6:coauthVersionLast="47" xr6:coauthVersionMax="47" xr10:uidLastSave="{00000000-0000-0000-0000-000000000000}"/>
  <bookViews>
    <workbookView xWindow="0" yWindow="500" windowWidth="38400" windowHeight="19320" xr2:uid="{155E7E0A-BDB7-634A-94B2-A3E00C697753}"/>
  </bookViews>
  <sheets>
    <sheet name="RESUMEN PRIMER AÑO" sheetId="1" r:id="rId1"/>
    <sheet name="ACTIVOS EXISTENTES" sheetId="2" r:id="rId2"/>
    <sheet name="ACTIVOS QUE SE VAN ADQUIRIR" sheetId="3" r:id="rId3"/>
    <sheet name="GASTOS VARIABLES" sheetId="4" r:id="rId4"/>
    <sheet name="GASTOS FIJOS" sheetId="5" r:id="rId5"/>
    <sheet name="INGRESO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6" l="1"/>
  <c r="E3" i="6"/>
  <c r="E4" i="6"/>
  <c r="E5" i="6"/>
  <c r="E2" i="5"/>
  <c r="E3" i="5"/>
  <c r="E4" i="5"/>
  <c r="E5" i="5"/>
  <c r="E6" i="5"/>
  <c r="E14" i="4"/>
  <c r="E11" i="4"/>
  <c r="E12" i="4"/>
  <c r="E13" i="4"/>
  <c r="E3" i="4"/>
  <c r="E4" i="4"/>
  <c r="E5" i="4"/>
  <c r="E6" i="4" s="1"/>
  <c r="E7" i="4"/>
  <c r="E8" i="4"/>
  <c r="E9" i="4"/>
  <c r="E10" i="4"/>
  <c r="E2" i="4"/>
  <c r="E2" i="2"/>
  <c r="E2" i="3"/>
  <c r="E3" i="3"/>
  <c r="E4" i="3"/>
  <c r="E5" i="3"/>
  <c r="E6" i="3"/>
  <c r="E7" i="3"/>
  <c r="E8" i="3"/>
  <c r="D9" i="3"/>
  <c r="B9" i="3"/>
  <c r="B3" i="1" s="1"/>
  <c r="D3" i="2"/>
  <c r="B3" i="2"/>
  <c r="B2" i="1" s="1"/>
  <c r="E3" i="2"/>
  <c r="E6" i="6" l="1"/>
  <c r="B9" i="1" s="1"/>
  <c r="E15" i="4"/>
  <c r="B5" i="1" s="1"/>
  <c r="C7" i="1" s="1"/>
  <c r="C10" i="1" s="1"/>
  <c r="E7" i="5"/>
  <c r="B6" i="1" s="1"/>
  <c r="C4" i="1"/>
  <c r="E9" i="3"/>
  <c r="C8" i="1" s="1"/>
</calcChain>
</file>

<file path=xl/sharedStrings.xml><?xml version="1.0" encoding="utf-8"?>
<sst xmlns="http://schemas.openxmlformats.org/spreadsheetml/2006/main" count="90" uniqueCount="65">
  <si>
    <t>ACTIVOS</t>
  </si>
  <si>
    <t>COSTO</t>
  </si>
  <si>
    <t>AÑOS DE VIDA ÚTIL</t>
  </si>
  <si>
    <t>VALOR RESIDUAL</t>
  </si>
  <si>
    <t>DEPRECIACIÓN</t>
  </si>
  <si>
    <t>Pickup 4 x 4</t>
  </si>
  <si>
    <t>Total</t>
  </si>
  <si>
    <t>Ocho Bancos de Producción</t>
  </si>
  <si>
    <t>Ocho Cisternas de Agua</t>
  </si>
  <si>
    <t>Chiller</t>
  </si>
  <si>
    <t>Planta Eléctrica</t>
  </si>
  <si>
    <t>Estación de Germinación</t>
  </si>
  <si>
    <t>Vagón  de Almacenamiento</t>
  </si>
  <si>
    <t>Dos Umbráculos 100’ x 30’</t>
  </si>
  <si>
    <t>PARTIDA</t>
  </si>
  <si>
    <t>CANTIDAD</t>
  </si>
  <si>
    <t>UNIDAD</t>
  </si>
  <si>
    <t>PRECIO</t>
  </si>
  <si>
    <t>Semilla de Lechuga</t>
  </si>
  <si>
    <t>Semillas Individuales</t>
  </si>
  <si>
    <t>Abono</t>
  </si>
  <si>
    <t>Quintales</t>
  </si>
  <si>
    <t>Plaguicida</t>
  </si>
  <si>
    <t>Galones</t>
  </si>
  <si>
    <t>Nómina (2 Empleados)</t>
  </si>
  <si>
    <t>Horas</t>
  </si>
  <si>
    <t>Obligaciones Patronales</t>
  </si>
  <si>
    <t>Nómina</t>
  </si>
  <si>
    <t>Gasolina</t>
  </si>
  <si>
    <t>Litros</t>
  </si>
  <si>
    <t>Empaque Cajas</t>
  </si>
  <si>
    <t>Cajas</t>
  </si>
  <si>
    <t>Empaque Bolsas</t>
  </si>
  <si>
    <t>Bolsas</t>
  </si>
  <si>
    <t>Materiales de Limpieza</t>
  </si>
  <si>
    <t>Mantenimiento de Vehículo</t>
  </si>
  <si>
    <t>Reparaciones Infraestructura</t>
  </si>
  <si>
    <t>Gastos Misceláneos</t>
  </si>
  <si>
    <t>Preparación de Terreno</t>
  </si>
  <si>
    <t>Horas de trabajo</t>
  </si>
  <si>
    <t>TOTAL</t>
  </si>
  <si>
    <t>Luz</t>
  </si>
  <si>
    <t>-</t>
  </si>
  <si>
    <t>Agua</t>
  </si>
  <si>
    <t>Seguro</t>
  </si>
  <si>
    <t>Arrendamiento del Terreno</t>
  </si>
  <si>
    <t>Cuerda</t>
  </si>
  <si>
    <t>Mensualidad</t>
  </si>
  <si>
    <t>Pago del Préstamo de $75,000 a 10 años más interés</t>
  </si>
  <si>
    <t>Subsidio Salarial</t>
  </si>
  <si>
    <t>Incentivo de Construcción Hidropónicos</t>
  </si>
  <si>
    <t>Reembolso de Maquinaria Agrícola</t>
  </si>
  <si>
    <t>Venta de Lechuga</t>
  </si>
  <si>
    <t>Activos Existentes</t>
  </si>
  <si>
    <t>Activos que se van a adquirir</t>
  </si>
  <si>
    <t>Inversión Total</t>
  </si>
  <si>
    <t>Gastos Variables</t>
  </si>
  <si>
    <t>Gastos Fijos</t>
  </si>
  <si>
    <t>Gastos Totales</t>
  </si>
  <si>
    <t>Depreciación</t>
  </si>
  <si>
    <t>Ingreso Bruto</t>
  </si>
  <si>
    <t>Ingreso Neto</t>
  </si>
  <si>
    <t>DESCRIPCIÓN</t>
  </si>
  <si>
    <t>MONTO</t>
  </si>
  <si>
    <t>MONTO2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</si>
</sst>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1" fillId="0" borderId="0" xfId="0" applyFont="1" applyAlignment="1">
      <alignment vertical="center"/>
    </xf>
    <xf numFmtId="44" fontId="2" fillId="0" borderId="0" xfId="0" applyNumberFormat="1" applyFont="1"/>
    <xf numFmtId="0" fontId="3" fillId="2" borderId="0" xfId="0" applyFont="1" applyFill="1" applyAlignment="1">
      <alignment vertical="center"/>
    </xf>
    <xf numFmtId="44" fontId="3" fillId="2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8" fontId="0" fillId="0" borderId="0" xfId="0" applyNumberForma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49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numFmt numFmtId="34" formatCode="_(&quot;$&quot;* #,##0.00_);_(&quot;$&quot;* \(#,##0.00\);_(&quot;$&quot;* &quot;-&quot;??_);_(@_)"/>
      <alignment horizontal="general" vertical="center" textRotation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5" formatCode="_(&quot;$&quot;* #,##0.000_);_(&quot;$&quot;* \(#,##0.000\);_(&quot;$&quot;* &quot;-&quot;??_);_(@_)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numFmt numFmtId="34" formatCode="_(&quot;$&quot;* #,##0.00_);_(&quot;$&quot;* \(#,##0.00\);_(&quot;$&quot;* &quot;-&quot;??_);_(@_)"/>
    </dxf>
    <dxf>
      <numFmt numFmtId="12" formatCode="&quot;$&quot;#,##0.00_);[Red]\(&quot;$&quot;#,##0.00\)"/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2" formatCode="0.00"/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2" formatCode="0.00"/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B60C927-CDF3-2D47-A3D1-426653233E83}" name="Table6" displayName="Table6" ref="A1:C10" totalsRowShown="0" dataDxfId="48">
  <autoFilter ref="A1:C10" xr:uid="{AB60C927-CDF3-2D47-A3D1-426653233E83}"/>
  <tableColumns count="3">
    <tableColumn id="1" xr3:uid="{E295A930-A938-DB4B-ACD7-74274B22F6D5}" name="DESCRIPCIÓN" dataDxfId="47"/>
    <tableColumn id="2" xr3:uid="{FE4E3409-66C1-2649-8E43-E378B6F75EB7}" name="MONTO" dataDxfId="46"/>
    <tableColumn id="3" xr3:uid="{6D24D4AC-F756-1D4F-B027-1A9A9093FB28}" name="MONTO2" dataDxfId="4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511D2C-A2DE-9346-A5D2-6B5B18A727B9}" name="Table1" displayName="Table1" ref="A1:E3" totalsRowCount="1" dataDxfId="44">
  <autoFilter ref="A1:E2" xr:uid="{5B511D2C-A2DE-9346-A5D2-6B5B18A727B9}"/>
  <tableColumns count="5">
    <tableColumn id="1" xr3:uid="{2DEB6EE0-1E87-2145-B1E7-E7B33DFD54EB}" name="ACTIVOS" totalsRowLabel="Total" dataDxfId="43"/>
    <tableColumn id="2" xr3:uid="{1471C37C-6C22-1A49-B42C-A7CC5141A2EE}" name="COSTO" totalsRowFunction="sum" dataDxfId="42" totalsRowDxfId="41"/>
    <tableColumn id="3" xr3:uid="{98594B58-D0C3-B74F-A4A4-B863D04E5499}" name="AÑOS DE VIDA ÚTIL" dataDxfId="40"/>
    <tableColumn id="4" xr3:uid="{80FF191C-3B48-9E4E-8C83-EE74892FD45C}" name="VALOR RESIDUAL" totalsRowFunction="sum" dataDxfId="39" totalsRowDxfId="38"/>
    <tableColumn id="5" xr3:uid="{24BFCE36-22CF-964C-B739-16E76FCA31FC}" name="DEPRECIACIÓN" totalsRowFunction="sum" dataDxfId="37" totalsRowDxfId="36">
      <calculatedColumnFormula>(Table1[[#This Row],[COSTO]]-Table1[[#This Row],[VALOR RESIDUAL]])/Table1[[#This Row],[AÑOS DE VIDA ÚTIL]]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99B317-4F88-6043-A33D-8E65EABCD82E}" name="Table13" displayName="Table13" ref="A1:E9" totalsRowCount="1" dataDxfId="35">
  <autoFilter ref="A1:E8" xr:uid="{5B511D2C-A2DE-9346-A5D2-6B5B18A727B9}"/>
  <tableColumns count="5">
    <tableColumn id="1" xr3:uid="{A1A016BB-833F-2344-B8AC-E3188D64EE2D}" name="ACTIVOS" totalsRowLabel="Total" dataDxfId="34"/>
    <tableColumn id="2" xr3:uid="{8D7A3AEF-479E-4E4B-BCFB-CB4709C4CC73}" name="COSTO" totalsRowFunction="sum" dataDxfId="33" totalsRowDxfId="32"/>
    <tableColumn id="3" xr3:uid="{6D1C745F-07F6-E542-B3B1-70348F20285C}" name="AÑOS DE VIDA ÚTIL" dataDxfId="31"/>
    <tableColumn id="4" xr3:uid="{EF08AD2D-1490-7C4A-8D6A-0D0AA5A62C21}" name="VALOR RESIDUAL" totalsRowFunction="sum" dataDxfId="30" totalsRowDxfId="29"/>
    <tableColumn id="5" xr3:uid="{0272832E-C7A6-D741-BFE8-B0A646441C79}" name="DEPRECIACIÓN" totalsRowFunction="sum" dataDxfId="28" totalsRowDxfId="27">
      <calculatedColumnFormula>(Table13[[#This Row],[COSTO]]-Table13[[#This Row],[VALOR RESIDUAL]])/Table13[[#This Row],[AÑOS DE VIDA ÚTIL]]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3274A9-901E-7B4C-872A-E7AF36B429B8}" name="Table3" displayName="Table3" ref="A1:E15" totalsRowCount="1" headerRowDxfId="26" dataDxfId="25">
  <autoFilter ref="A1:E14" xr:uid="{913274A9-901E-7B4C-872A-E7AF36B429B8}"/>
  <tableColumns count="5">
    <tableColumn id="1" xr3:uid="{001E644F-2114-A445-815E-340205E8B10E}" name="PARTIDA" totalsRowLabel="Total" dataDxfId="24" totalsRowDxfId="23"/>
    <tableColumn id="2" xr3:uid="{029FFBAA-FA2A-534E-A839-DAC1493B92EA}" name="CANTIDAD" dataDxfId="22" totalsRowDxfId="21" dataCellStyle="Comma" totalsRowCellStyle="Comma"/>
    <tableColumn id="3" xr3:uid="{A0001271-4820-4343-A891-D419234052EF}" name="UNIDAD" dataDxfId="20" totalsRowDxfId="19"/>
    <tableColumn id="4" xr3:uid="{1E249706-FA8D-8041-96D2-910D0AC964D7}" name="PRECIO" dataDxfId="18" totalsRowDxfId="17"/>
    <tableColumn id="5" xr3:uid="{918ABDED-19C2-6B4B-9B2E-CB5F27007234}" name="TOTAL" totalsRowFunction="sum" dataDxfId="16" totalsRowDxfId="15">
      <calculatedColumnFormula>B2*D2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4AEFF9-2283-F04A-8863-072D097AC2C4}" name="Table4" displayName="Table4" ref="A1:E7" totalsRowCount="1" headerRowDxfId="14" dataDxfId="13">
  <autoFilter ref="A1:E6" xr:uid="{494AEFF9-2283-F04A-8863-072D097AC2C4}"/>
  <tableColumns count="5">
    <tableColumn id="1" xr3:uid="{6B9C656D-72D7-F748-B665-F8F52FEA3F23}" name="PARTIDA" totalsRowLabel="Total" dataDxfId="12"/>
    <tableColumn id="2" xr3:uid="{42E7529C-31AB-B942-AFC9-98C15E57D8A3}" name="CANTIDAD" dataDxfId="11"/>
    <tableColumn id="3" xr3:uid="{97761038-7EC2-1B45-941C-945E73238DF7}" name="UNIDAD" dataDxfId="10"/>
    <tableColumn id="4" xr3:uid="{D0D4A053-C4A7-4F4B-ACC3-C9D5B36C051F}" name="PRECIO" dataDxfId="9"/>
    <tableColumn id="5" xr3:uid="{A2917F22-BA86-264B-A3EC-9B35CD0C33CF}" name="TOTAL" totalsRowFunction="sum" dataDxfId="8">
      <calculatedColumnFormula>Table4[[#This Row],[CANTIDAD]]*Table4[[#This Row],[PRECIO]]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42EB7B1-FDFE-6041-89DF-14D86652BCB4}" name="Table5" displayName="Table5" ref="A1:E6" totalsRowCount="1" headerRowDxfId="7" dataDxfId="6">
  <autoFilter ref="A1:E5" xr:uid="{542EB7B1-FDFE-6041-89DF-14D86652BCB4}"/>
  <tableColumns count="5">
    <tableColumn id="1" xr3:uid="{510A6276-8972-AC40-B22E-2362CE221459}" name="PARTIDA" totalsRowLabel="Total" dataDxfId="5"/>
    <tableColumn id="2" xr3:uid="{9C7665E4-A0E2-564D-97D4-0BF0008B1570}" name="CANTIDAD" dataDxfId="4" dataCellStyle="Comma"/>
    <tableColumn id="3" xr3:uid="{4F4F898C-CCE9-7B4A-B4E1-ED62B884AC55}" name="UNIDAD" dataDxfId="3"/>
    <tableColumn id="4" xr3:uid="{6B295415-FFFB-B442-977B-6D8450B06F34}" name="PRECIO" dataDxfId="2"/>
    <tableColumn id="5" xr3:uid="{01450338-A3D3-2945-8DAD-902C5714B982}" name="TOTAL" totalsRowFunction="sum" dataDxfId="1" totalsRowDxfId="0">
      <calculatedColumnFormula>Table5[[#This Row],[CANTIDAD]]*Table5[[#This Row],[PRECIO]]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1475-2D38-0D48-AD1C-51587945C216}">
  <dimension ref="A1:C10"/>
  <sheetViews>
    <sheetView tabSelected="1" workbookViewId="0">
      <selection activeCell="F6" sqref="F6"/>
    </sheetView>
  </sheetViews>
  <sheetFormatPr baseColWidth="10" defaultRowHeight="16" x14ac:dyDescent="0.2"/>
  <cols>
    <col min="1" max="1" width="24" bestFit="1" customWidth="1"/>
    <col min="2" max="3" width="11.5" bestFit="1" customWidth="1"/>
  </cols>
  <sheetData>
    <row r="1" spans="1:3" x14ac:dyDescent="0.2">
      <c r="A1" t="s">
        <v>62</v>
      </c>
      <c r="B1" t="s">
        <v>63</v>
      </c>
      <c r="C1" t="s">
        <v>64</v>
      </c>
    </row>
    <row r="2" spans="1:3" ht="30" customHeight="1" x14ac:dyDescent="0.2">
      <c r="A2" s="4" t="s">
        <v>53</v>
      </c>
      <c r="B2" s="5">
        <f>Table1[[#Totals],[COSTO]]</f>
        <v>30000</v>
      </c>
      <c r="C2" s="4"/>
    </row>
    <row r="3" spans="1:3" ht="30" customHeight="1" x14ac:dyDescent="0.2">
      <c r="A3" s="4" t="s">
        <v>54</v>
      </c>
      <c r="B3" s="5">
        <f>Table13[[#Totals],[COSTO]]</f>
        <v>50700</v>
      </c>
      <c r="C3" s="4"/>
    </row>
    <row r="4" spans="1:3" ht="30" customHeight="1" x14ac:dyDescent="0.2">
      <c r="A4" s="12" t="s">
        <v>55</v>
      </c>
      <c r="B4" s="12"/>
      <c r="C4" s="13">
        <f>B2+B3</f>
        <v>80700</v>
      </c>
    </row>
    <row r="5" spans="1:3" ht="30" customHeight="1" x14ac:dyDescent="0.2">
      <c r="A5" s="4" t="s">
        <v>56</v>
      </c>
      <c r="B5" s="5">
        <f>Table3[[#Totals],[TOTAL]]</f>
        <v>39756</v>
      </c>
      <c r="C5" s="4"/>
    </row>
    <row r="6" spans="1:3" ht="30" customHeight="1" x14ac:dyDescent="0.2">
      <c r="A6" s="4" t="s">
        <v>57</v>
      </c>
      <c r="B6" s="5">
        <f>Table4[[#Totals],[TOTAL]]</f>
        <v>17300</v>
      </c>
      <c r="C6" s="4"/>
    </row>
    <row r="7" spans="1:3" ht="30" customHeight="1" x14ac:dyDescent="0.2">
      <c r="A7" s="12" t="s">
        <v>58</v>
      </c>
      <c r="B7" s="12"/>
      <c r="C7" s="13">
        <f>SUM(B5:B6)</f>
        <v>57056</v>
      </c>
    </row>
    <row r="8" spans="1:3" ht="30" customHeight="1" x14ac:dyDescent="0.2">
      <c r="A8" s="4" t="s">
        <v>59</v>
      </c>
      <c r="B8" s="4"/>
      <c r="C8" s="5">
        <f>Table1[[#Totals],[DEPRECIACIÓN]]+Table13[[#Totals],[DEPRECIACIÓN]]</f>
        <v>6946.6666666666661</v>
      </c>
    </row>
    <row r="9" spans="1:3" ht="30" customHeight="1" x14ac:dyDescent="0.2">
      <c r="A9" s="4" t="s">
        <v>60</v>
      </c>
      <c r="B9" s="5">
        <f>Table5[[#Totals],[TOTAL]]</f>
        <v>85656</v>
      </c>
      <c r="C9" s="4"/>
    </row>
    <row r="10" spans="1:3" x14ac:dyDescent="0.2">
      <c r="A10" s="12" t="s">
        <v>61</v>
      </c>
      <c r="B10" s="12"/>
      <c r="C10" s="13">
        <f>B9-C7-C8</f>
        <v>21653.333333333336</v>
      </c>
    </row>
  </sheetData>
  <printOptions horizontalCentered="1"/>
  <pageMargins left="0.7" right="0.7" top="0.75" bottom="0.75" header="0.3" footer="0.3"/>
  <pageSetup orientation="portrait" horizontalDpi="0" verticalDpi="0"/>
  <headerFooter>
    <oddHeader xml:space="preserve">&amp;C&amp;"Calibri,Regular"&amp;13&amp;K000000RESUMEN DEL PROYECTO: PRIMER AÑO&amp;"Times Roman,Regular"&amp;12 </oddHead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36116-9118-404B-91A8-31DDBB54E00D}">
  <dimension ref="A1:E3"/>
  <sheetViews>
    <sheetView workbookViewId="0">
      <selection activeCell="G7" sqref="G7"/>
    </sheetView>
  </sheetViews>
  <sheetFormatPr baseColWidth="10" defaultRowHeight="16" x14ac:dyDescent="0.2"/>
  <cols>
    <col min="2" max="2" width="11.5" bestFit="1" customWidth="1"/>
    <col min="3" max="3" width="18.6640625" customWidth="1"/>
    <col min="4" max="4" width="17.1640625" customWidth="1"/>
    <col min="5" max="5" width="16.3320312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s="4" customFormat="1" ht="30" customHeight="1" x14ac:dyDescent="0.2">
      <c r="A2" s="14" t="s">
        <v>5</v>
      </c>
      <c r="B2" s="5">
        <v>30000</v>
      </c>
      <c r="C2" s="15">
        <v>5</v>
      </c>
      <c r="D2" s="5">
        <v>13500</v>
      </c>
      <c r="E2" s="5">
        <f>(Table1[[#This Row],[COSTO]]-Table1[[#This Row],[VALOR RESIDUAL]])/Table1[[#This Row],[AÑOS DE VIDA ÚTIL]]</f>
        <v>3300</v>
      </c>
    </row>
    <row r="3" spans="1:5" x14ac:dyDescent="0.2">
      <c r="A3" t="s">
        <v>6</v>
      </c>
      <c r="B3" s="1">
        <f>SUBTOTAL(109,Table1[COSTO])</f>
        <v>30000</v>
      </c>
      <c r="D3" s="1">
        <f>SUBTOTAL(109,Table1[VALOR RESIDUAL])</f>
        <v>13500</v>
      </c>
      <c r="E3" s="1">
        <f>SUBTOTAL(109,Table1[DEPRECIACIÓN])</f>
        <v>3300</v>
      </c>
    </row>
  </sheetData>
  <printOptions horizontalCentered="1"/>
  <pageMargins left="0.7" right="0.7" top="0.75" bottom="0.75" header="0.3" footer="0.3"/>
  <pageSetup orientation="portrait" horizontalDpi="0" verticalDpi="0"/>
  <headerFooter>
    <oddHeader>&amp;C&amp;"Aptos Narrow,Regular"&amp;K000000ACTIVOS EXISTENTES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8D9E-008B-3C43-BC0F-D8E38E79C8C3}">
  <dimension ref="A1:E9"/>
  <sheetViews>
    <sheetView workbookViewId="0">
      <selection activeCell="D15" sqref="D15"/>
    </sheetView>
  </sheetViews>
  <sheetFormatPr baseColWidth="10" defaultRowHeight="16" x14ac:dyDescent="0.2"/>
  <cols>
    <col min="1" max="1" width="24" bestFit="1" customWidth="1"/>
    <col min="2" max="2" width="11.5" bestFit="1" customWidth="1"/>
    <col min="3" max="3" width="18.6640625" customWidth="1"/>
    <col min="4" max="4" width="17.1640625" customWidth="1"/>
    <col min="5" max="5" width="16.3320312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s="4" customFormat="1" ht="30" customHeight="1" x14ac:dyDescent="0.2">
      <c r="A2" s="14" t="s">
        <v>13</v>
      </c>
      <c r="B2" s="16">
        <v>24000</v>
      </c>
      <c r="C2" s="15">
        <v>15</v>
      </c>
      <c r="D2" s="5">
        <v>4000</v>
      </c>
      <c r="E2" s="16">
        <f>(Table13[[#This Row],[COSTO]]-Table13[[#This Row],[VALOR RESIDUAL]])/Table13[[#This Row],[AÑOS DE VIDA ÚTIL]]</f>
        <v>1333.3333333333333</v>
      </c>
    </row>
    <row r="3" spans="1:5" s="4" customFormat="1" ht="30" customHeight="1" x14ac:dyDescent="0.2">
      <c r="A3" s="14" t="s">
        <v>7</v>
      </c>
      <c r="B3" s="16">
        <v>16000</v>
      </c>
      <c r="C3" s="15">
        <v>10</v>
      </c>
      <c r="D3" s="5">
        <v>2000</v>
      </c>
      <c r="E3" s="16">
        <f>(Table13[[#This Row],[COSTO]]-Table13[[#This Row],[VALOR RESIDUAL]])/Table13[[#This Row],[AÑOS DE VIDA ÚTIL]]</f>
        <v>1400</v>
      </c>
    </row>
    <row r="4" spans="1:5" s="4" customFormat="1" ht="30" customHeight="1" x14ac:dyDescent="0.2">
      <c r="A4" s="14" t="s">
        <v>8</v>
      </c>
      <c r="B4" s="16">
        <v>2000</v>
      </c>
      <c r="C4" s="15">
        <v>15</v>
      </c>
      <c r="D4" s="5">
        <v>800</v>
      </c>
      <c r="E4" s="16">
        <f>(Table13[[#This Row],[COSTO]]-Table13[[#This Row],[VALOR RESIDUAL]])/Table13[[#This Row],[AÑOS DE VIDA ÚTIL]]</f>
        <v>80</v>
      </c>
    </row>
    <row r="5" spans="1:5" s="4" customFormat="1" ht="30" customHeight="1" x14ac:dyDescent="0.2">
      <c r="A5" s="14" t="s">
        <v>9</v>
      </c>
      <c r="B5" s="16">
        <v>1300</v>
      </c>
      <c r="C5" s="15">
        <v>4</v>
      </c>
      <c r="D5" s="5">
        <v>200</v>
      </c>
      <c r="E5" s="16">
        <f>(Table13[[#This Row],[COSTO]]-Table13[[#This Row],[VALOR RESIDUAL]])/Table13[[#This Row],[AÑOS DE VIDA ÚTIL]]</f>
        <v>275</v>
      </c>
    </row>
    <row r="6" spans="1:5" s="4" customFormat="1" ht="30" customHeight="1" x14ac:dyDescent="0.2">
      <c r="A6" s="4" t="s">
        <v>10</v>
      </c>
      <c r="B6" s="16">
        <v>4000</v>
      </c>
      <c r="C6" s="15">
        <v>8</v>
      </c>
      <c r="D6" s="5">
        <v>1000</v>
      </c>
      <c r="E6" s="16">
        <f>(Table13[[#This Row],[COSTO]]-Table13[[#This Row],[VALOR RESIDUAL]])/Table13[[#This Row],[AÑOS DE VIDA ÚTIL]]</f>
        <v>375</v>
      </c>
    </row>
    <row r="7" spans="1:5" s="4" customFormat="1" ht="30" customHeight="1" x14ac:dyDescent="0.2">
      <c r="A7" s="4" t="s">
        <v>11</v>
      </c>
      <c r="B7" s="16">
        <v>400</v>
      </c>
      <c r="C7" s="15">
        <v>6</v>
      </c>
      <c r="D7" s="5">
        <v>50</v>
      </c>
      <c r="E7" s="16">
        <f>(Table13[[#This Row],[COSTO]]-Table13[[#This Row],[VALOR RESIDUAL]])/Table13[[#This Row],[AÑOS DE VIDA ÚTIL]]</f>
        <v>58.333333333333336</v>
      </c>
    </row>
    <row r="8" spans="1:5" s="4" customFormat="1" ht="30" customHeight="1" x14ac:dyDescent="0.2">
      <c r="A8" s="4" t="s">
        <v>12</v>
      </c>
      <c r="B8" s="16">
        <v>3000</v>
      </c>
      <c r="C8" s="15">
        <v>20</v>
      </c>
      <c r="D8" s="5">
        <v>500</v>
      </c>
      <c r="E8" s="16">
        <f>(Table13[[#This Row],[COSTO]]-Table13[[#This Row],[VALOR RESIDUAL]])/Table13[[#This Row],[AÑOS DE VIDA ÚTIL]]</f>
        <v>125</v>
      </c>
    </row>
    <row r="9" spans="1:5" x14ac:dyDescent="0.2">
      <c r="A9" t="s">
        <v>6</v>
      </c>
      <c r="B9" s="1">
        <f>SUBTOTAL(109,Table13[COSTO])</f>
        <v>50700</v>
      </c>
      <c r="D9" s="1">
        <f>SUBTOTAL(109,Table13[VALOR RESIDUAL])</f>
        <v>8550</v>
      </c>
      <c r="E9" s="1">
        <f>SUBTOTAL(109,Table13[DEPRECIACIÓN])</f>
        <v>3646.6666666666665</v>
      </c>
    </row>
  </sheetData>
  <printOptions horizontalCentered="1"/>
  <pageMargins left="0.7" right="0.7" top="0.75" bottom="0.75" header="0.3" footer="0.3"/>
  <pageSetup orientation="landscape" horizontalDpi="0" verticalDpi="0"/>
  <headerFooter>
    <oddHeader>&amp;C&amp;"Aptos Narrow,Regular"&amp;K000000ACTIVOS QUE SE VAN ADQUIRIR</oddHeader>
  </headerFooter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7AE3-9C54-B447-A881-ADD6F31F7948}">
  <dimension ref="A1:E15"/>
  <sheetViews>
    <sheetView workbookViewId="0">
      <selection activeCell="E3" sqref="E3"/>
    </sheetView>
  </sheetViews>
  <sheetFormatPr baseColWidth="10" defaultRowHeight="16" x14ac:dyDescent="0.2"/>
  <cols>
    <col min="1" max="1" width="25.1640625" bestFit="1" customWidth="1"/>
    <col min="2" max="2" width="12.5" customWidth="1"/>
    <col min="3" max="3" width="18.1640625" bestFit="1" customWidth="1"/>
    <col min="4" max="5" width="11.5" bestFit="1" customWidth="1"/>
  </cols>
  <sheetData>
    <row r="1" spans="1:5" x14ac:dyDescent="0.2">
      <c r="A1" s="3" t="s">
        <v>14</v>
      </c>
      <c r="B1" s="3" t="s">
        <v>15</v>
      </c>
      <c r="C1" s="3" t="s">
        <v>16</v>
      </c>
      <c r="D1" s="3" t="s">
        <v>17</v>
      </c>
      <c r="E1" s="3" t="s">
        <v>40</v>
      </c>
    </row>
    <row r="2" spans="1:5" s="4" customFormat="1" ht="30" customHeight="1" x14ac:dyDescent="0.2">
      <c r="A2" s="4" t="s">
        <v>18</v>
      </c>
      <c r="B2" s="7">
        <v>200000</v>
      </c>
      <c r="C2" s="4" t="s">
        <v>19</v>
      </c>
      <c r="D2" s="8">
        <v>3.0000000000000001E-3</v>
      </c>
      <c r="E2" s="5">
        <f>B2*D2</f>
        <v>600</v>
      </c>
    </row>
    <row r="3" spans="1:5" s="4" customFormat="1" ht="30" customHeight="1" x14ac:dyDescent="0.2">
      <c r="A3" s="4" t="s">
        <v>20</v>
      </c>
      <c r="B3" s="7">
        <v>100</v>
      </c>
      <c r="C3" s="4" t="s">
        <v>21</v>
      </c>
      <c r="D3" s="8">
        <v>60</v>
      </c>
      <c r="E3" s="5">
        <f t="shared" ref="E3:E14" si="0">B3*D3</f>
        <v>6000</v>
      </c>
    </row>
    <row r="4" spans="1:5" s="4" customFormat="1" ht="30" customHeight="1" x14ac:dyDescent="0.2">
      <c r="A4" s="4" t="s">
        <v>22</v>
      </c>
      <c r="B4" s="7">
        <v>14</v>
      </c>
      <c r="C4" s="4" t="s">
        <v>23</v>
      </c>
      <c r="D4" s="8">
        <v>80</v>
      </c>
      <c r="E4" s="5">
        <f t="shared" si="0"/>
        <v>1120</v>
      </c>
    </row>
    <row r="5" spans="1:5" s="4" customFormat="1" ht="30" customHeight="1" x14ac:dyDescent="0.2">
      <c r="A5" s="4" t="s">
        <v>24</v>
      </c>
      <c r="B5" s="7">
        <v>2080</v>
      </c>
      <c r="C5" s="4" t="s">
        <v>25</v>
      </c>
      <c r="D5" s="8">
        <v>7.25</v>
      </c>
      <c r="E5" s="5">
        <f t="shared" si="0"/>
        <v>15080</v>
      </c>
    </row>
    <row r="6" spans="1:5" s="4" customFormat="1" ht="30" customHeight="1" x14ac:dyDescent="0.2">
      <c r="A6" s="4" t="s">
        <v>26</v>
      </c>
      <c r="B6" s="7">
        <v>1</v>
      </c>
      <c r="C6" s="4" t="s">
        <v>27</v>
      </c>
      <c r="D6" s="9">
        <v>0.2</v>
      </c>
      <c r="E6" s="5">
        <f>E5*D6</f>
        <v>3016</v>
      </c>
    </row>
    <row r="7" spans="1:5" s="4" customFormat="1" ht="30" customHeight="1" x14ac:dyDescent="0.2">
      <c r="A7" s="4" t="s">
        <v>28</v>
      </c>
      <c r="B7" s="7">
        <v>6000</v>
      </c>
      <c r="C7" s="4" t="s">
        <v>29</v>
      </c>
      <c r="D7" s="8">
        <v>0.7</v>
      </c>
      <c r="E7" s="5">
        <f t="shared" si="0"/>
        <v>4200</v>
      </c>
    </row>
    <row r="8" spans="1:5" s="4" customFormat="1" ht="30" customHeight="1" x14ac:dyDescent="0.2">
      <c r="A8" s="4" t="s">
        <v>30</v>
      </c>
      <c r="B8" s="7">
        <v>9600</v>
      </c>
      <c r="C8" s="4" t="s">
        <v>31</v>
      </c>
      <c r="D8" s="8">
        <v>0.6</v>
      </c>
      <c r="E8" s="5">
        <f t="shared" si="0"/>
        <v>5760</v>
      </c>
    </row>
    <row r="9" spans="1:5" s="4" customFormat="1" ht="30" customHeight="1" x14ac:dyDescent="0.2">
      <c r="A9" s="4" t="s">
        <v>32</v>
      </c>
      <c r="B9" s="7">
        <v>192000</v>
      </c>
      <c r="C9" s="4" t="s">
        <v>33</v>
      </c>
      <c r="D9" s="8">
        <v>5.0000000000000001E-3</v>
      </c>
      <c r="E9" s="5">
        <f t="shared" si="0"/>
        <v>960</v>
      </c>
    </row>
    <row r="10" spans="1:5" s="4" customFormat="1" ht="30" customHeight="1" x14ac:dyDescent="0.2">
      <c r="A10" s="4" t="s">
        <v>34</v>
      </c>
      <c r="B10" s="7">
        <v>10</v>
      </c>
      <c r="C10" s="4" t="s">
        <v>23</v>
      </c>
      <c r="D10" s="8">
        <v>10</v>
      </c>
      <c r="E10" s="5">
        <f t="shared" si="0"/>
        <v>100</v>
      </c>
    </row>
    <row r="11" spans="1:5" s="4" customFormat="1" ht="30" customHeight="1" x14ac:dyDescent="0.2">
      <c r="A11" s="4" t="s">
        <v>35</v>
      </c>
      <c r="B11" s="7">
        <v>1</v>
      </c>
      <c r="D11" s="8">
        <v>600</v>
      </c>
      <c r="E11" s="5">
        <f t="shared" si="0"/>
        <v>600</v>
      </c>
    </row>
    <row r="12" spans="1:5" s="4" customFormat="1" ht="30" customHeight="1" x14ac:dyDescent="0.2">
      <c r="A12" s="4" t="s">
        <v>36</v>
      </c>
      <c r="B12" s="7">
        <v>1</v>
      </c>
      <c r="D12" s="8">
        <v>400</v>
      </c>
      <c r="E12" s="5">
        <f t="shared" si="0"/>
        <v>400</v>
      </c>
    </row>
    <row r="13" spans="1:5" s="4" customFormat="1" ht="30" customHeight="1" x14ac:dyDescent="0.2">
      <c r="A13" s="4" t="s">
        <v>37</v>
      </c>
      <c r="B13" s="7">
        <v>1</v>
      </c>
      <c r="D13" s="8">
        <v>1200</v>
      </c>
      <c r="E13" s="5">
        <f t="shared" si="0"/>
        <v>1200</v>
      </c>
    </row>
    <row r="14" spans="1:5" s="4" customFormat="1" ht="30" customHeight="1" x14ac:dyDescent="0.2">
      <c r="A14" s="4" t="s">
        <v>38</v>
      </c>
      <c r="B14" s="7">
        <v>12</v>
      </c>
      <c r="C14" s="4" t="s">
        <v>39</v>
      </c>
      <c r="D14" s="8">
        <v>60</v>
      </c>
      <c r="E14" s="5">
        <f t="shared" si="0"/>
        <v>720</v>
      </c>
    </row>
    <row r="15" spans="1:5" x14ac:dyDescent="0.2">
      <c r="A15" s="4" t="s">
        <v>6</v>
      </c>
      <c r="B15" s="10"/>
      <c r="C15" s="4"/>
      <c r="D15" s="4"/>
      <c r="E15" s="5">
        <f>SUBTOTAL(109,Table3[TOTAL])</f>
        <v>39756</v>
      </c>
    </row>
  </sheetData>
  <printOptions horizontalCentered="1"/>
  <pageMargins left="0.7" right="0.7" top="0.75" bottom="0.75" header="0.3" footer="0.3"/>
  <pageSetup orientation="portrait" horizontalDpi="0" verticalDpi="0"/>
  <headerFooter>
    <oddHeader>&amp;C&amp;"Aptos Narrow,Regular"&amp;K000000GASTOS VARIABLES</oddHead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75F2-7636-7C4D-A2E5-FADCA341B912}">
  <dimension ref="A1:E7"/>
  <sheetViews>
    <sheetView workbookViewId="0">
      <selection activeCell="G30" sqref="G30"/>
    </sheetView>
  </sheetViews>
  <sheetFormatPr baseColWidth="10" defaultRowHeight="16" x14ac:dyDescent="0.2"/>
  <cols>
    <col min="1" max="1" width="24" customWidth="1"/>
    <col min="2" max="2" width="15.1640625" bestFit="1" customWidth="1"/>
    <col min="3" max="3" width="13" bestFit="1" customWidth="1"/>
    <col min="4" max="4" width="12.6640625" bestFit="1" customWidth="1"/>
    <col min="5" max="5" width="11.5" bestFit="1" customWidth="1"/>
  </cols>
  <sheetData>
    <row r="1" spans="1:5" s="6" customFormat="1" x14ac:dyDescent="0.2">
      <c r="A1" s="6" t="s">
        <v>14</v>
      </c>
      <c r="B1" s="6" t="s">
        <v>15</v>
      </c>
      <c r="C1" s="6" t="s">
        <v>16</v>
      </c>
      <c r="D1" s="6" t="s">
        <v>17</v>
      </c>
      <c r="E1" s="6" t="s">
        <v>40</v>
      </c>
    </row>
    <row r="2" spans="1:5" ht="30" customHeight="1" x14ac:dyDescent="0.2">
      <c r="A2" s="4" t="s">
        <v>41</v>
      </c>
      <c r="B2" s="4">
        <v>12</v>
      </c>
      <c r="C2" s="4" t="s">
        <v>47</v>
      </c>
      <c r="D2" s="5">
        <v>200</v>
      </c>
      <c r="E2" s="5">
        <f>Table4[[#This Row],[CANTIDAD]]*Table4[[#This Row],[PRECIO]]</f>
        <v>2400</v>
      </c>
    </row>
    <row r="3" spans="1:5" ht="30" customHeight="1" x14ac:dyDescent="0.2">
      <c r="A3" s="4" t="s">
        <v>43</v>
      </c>
      <c r="B3" s="4">
        <v>12</v>
      </c>
      <c r="C3" s="4" t="s">
        <v>47</v>
      </c>
      <c r="D3" s="5">
        <v>400</v>
      </c>
      <c r="E3" s="5">
        <f>Table4[[#This Row],[CANTIDAD]]*Table4[[#This Row],[PRECIO]]</f>
        <v>4800</v>
      </c>
    </row>
    <row r="4" spans="1:5" ht="30" customHeight="1" x14ac:dyDescent="0.2">
      <c r="A4" s="4" t="s">
        <v>44</v>
      </c>
      <c r="B4" s="4">
        <v>1</v>
      </c>
      <c r="C4" s="4" t="s">
        <v>42</v>
      </c>
      <c r="D4" s="5">
        <v>800</v>
      </c>
      <c r="E4" s="5">
        <f>Table4[[#This Row],[CANTIDAD]]*Table4[[#This Row],[PRECIO]]</f>
        <v>800</v>
      </c>
    </row>
    <row r="5" spans="1:5" ht="30" customHeight="1" x14ac:dyDescent="0.2">
      <c r="A5" s="4" t="s">
        <v>45</v>
      </c>
      <c r="B5" s="4">
        <v>1</v>
      </c>
      <c r="C5" s="4" t="s">
        <v>46</v>
      </c>
      <c r="D5" s="5">
        <v>1500</v>
      </c>
      <c r="E5" s="5">
        <f>Table4[[#This Row],[CANTIDAD]]*Table4[[#This Row],[PRECIO]]</f>
        <v>1500</v>
      </c>
    </row>
    <row r="6" spans="1:5" ht="30" customHeight="1" x14ac:dyDescent="0.2">
      <c r="A6" s="2" t="s">
        <v>48</v>
      </c>
      <c r="B6" s="4">
        <v>12</v>
      </c>
      <c r="C6" s="4" t="s">
        <v>47</v>
      </c>
      <c r="D6" s="5">
        <v>650</v>
      </c>
      <c r="E6" s="5">
        <f>Table4[[#This Row],[CANTIDAD]]*Table4[[#This Row],[PRECIO]]</f>
        <v>7800</v>
      </c>
    </row>
    <row r="7" spans="1:5" x14ac:dyDescent="0.2">
      <c r="A7" t="s">
        <v>6</v>
      </c>
      <c r="E7" s="1">
        <f>SUBTOTAL(109,Table4[TOTAL])</f>
        <v>17300</v>
      </c>
    </row>
  </sheetData>
  <printOptions horizontalCentered="1"/>
  <pageMargins left="0.7" right="0.7" top="0.75" bottom="0.75" header="0.3" footer="0.3"/>
  <pageSetup orientation="portrait" horizontalDpi="0" verticalDpi="0"/>
  <headerFooter>
    <oddHeader>&amp;C&amp;"Aptos Narrow,Regular"&amp;K000000GASTOS FIJOS</oddHead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861B-EE3B-164F-974A-3E967B9271D9}">
  <dimension ref="A1:E6"/>
  <sheetViews>
    <sheetView workbookViewId="0">
      <selection activeCell="P38" sqref="P38"/>
    </sheetView>
  </sheetViews>
  <sheetFormatPr baseColWidth="10" defaultRowHeight="16" x14ac:dyDescent="0.2"/>
  <cols>
    <col min="1" max="1" width="33.83203125" bestFit="1" customWidth="1"/>
    <col min="2" max="2" width="12.5" customWidth="1"/>
    <col min="3" max="3" width="10.33203125" customWidth="1"/>
    <col min="4" max="4" width="11.33203125" style="1" customWidth="1"/>
    <col min="5" max="5" width="11.5" style="1" bestFit="1" customWidth="1"/>
  </cols>
  <sheetData>
    <row r="1" spans="1:5" x14ac:dyDescent="0.2">
      <c r="A1" s="3" t="s">
        <v>14</v>
      </c>
      <c r="B1" s="3" t="s">
        <v>15</v>
      </c>
      <c r="C1" s="3" t="s">
        <v>16</v>
      </c>
      <c r="D1" s="11" t="s">
        <v>17</v>
      </c>
      <c r="E1" s="11" t="s">
        <v>40</v>
      </c>
    </row>
    <row r="2" spans="1:5" s="4" customFormat="1" ht="30" customHeight="1" x14ac:dyDescent="0.2">
      <c r="A2" s="4" t="s">
        <v>49</v>
      </c>
      <c r="B2" s="7">
        <v>2080</v>
      </c>
      <c r="C2" s="4" t="s">
        <v>25</v>
      </c>
      <c r="D2" s="5">
        <v>2.625</v>
      </c>
      <c r="E2" s="5">
        <f>Table5[[#This Row],[CANTIDAD]]*Table5[[#This Row],[PRECIO]]</f>
        <v>5460</v>
      </c>
    </row>
    <row r="3" spans="1:5" s="4" customFormat="1" ht="30" customHeight="1" x14ac:dyDescent="0.2">
      <c r="A3" s="4" t="s">
        <v>50</v>
      </c>
      <c r="B3" s="7">
        <v>1</v>
      </c>
      <c r="D3" s="5">
        <v>1500</v>
      </c>
      <c r="E3" s="5">
        <f>Table5[[#This Row],[CANTIDAD]]*Table5[[#This Row],[PRECIO]]</f>
        <v>1500</v>
      </c>
    </row>
    <row r="4" spans="1:5" s="4" customFormat="1" ht="30" customHeight="1" x14ac:dyDescent="0.2">
      <c r="A4" s="4" t="s">
        <v>51</v>
      </c>
      <c r="B4" s="7">
        <v>12</v>
      </c>
      <c r="C4" s="4" t="s">
        <v>25</v>
      </c>
      <c r="D4" s="5">
        <v>30</v>
      </c>
      <c r="E4" s="5">
        <f>Table5[[#This Row],[CANTIDAD]]*Table5[[#This Row],[PRECIO]]</f>
        <v>360</v>
      </c>
    </row>
    <row r="5" spans="1:5" s="4" customFormat="1" ht="30" customHeight="1" x14ac:dyDescent="0.2">
      <c r="A5" s="4" t="s">
        <v>52</v>
      </c>
      <c r="B5" s="7">
        <v>92160</v>
      </c>
      <c r="C5" s="4" t="s">
        <v>33</v>
      </c>
      <c r="D5" s="5">
        <v>0.85</v>
      </c>
      <c r="E5" s="5">
        <f>Table5[[#This Row],[CANTIDAD]]*Table5[[#This Row],[PRECIO]]</f>
        <v>78336</v>
      </c>
    </row>
    <row r="6" spans="1:5" x14ac:dyDescent="0.2">
      <c r="A6" t="s">
        <v>6</v>
      </c>
      <c r="D6"/>
      <c r="E6" s="1">
        <f>SUBTOTAL(109,Table5[TOTAL])</f>
        <v>85656</v>
      </c>
    </row>
  </sheetData>
  <printOptions horizontalCentered="1"/>
  <pageMargins left="0.7" right="0.7" top="0.75" bottom="0.75" header="0.3" footer="0.3"/>
  <pageSetup orientation="portrait" horizontalDpi="0" verticalDpi="0"/>
  <headerFooter>
    <oddHeader>&amp;C&amp;"Aptos Narrow,Regular"&amp;K000000INGRESOS</odd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RESUMEN PRIMER AÑO</vt:lpstr>
      <vt:lpstr>ACTIVOS EXISTENTES</vt:lpstr>
      <vt:lpstr>ACTIVOS QUE SE VAN ADQUIRIR</vt:lpstr>
      <vt:lpstr>GASTOS VARIABLES</vt:lpstr>
      <vt:lpstr>GASTOS FIJOS</vt:lpstr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Zildalee Díaz Rosado</dc:creator>
  <cp:lastModifiedBy>Zildalee Díaz Rosado</cp:lastModifiedBy>
  <dcterms:created xsi:type="dcterms:W3CDTF">2025-05-27T22:16:41Z</dcterms:created>
  <dcterms:modified xsi:type="dcterms:W3CDTF">2025-07-03T18:45:48Z</dcterms:modified>
</cp:coreProperties>
</file>